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7e6f7b53cfe8f85/Desktop/"/>
    </mc:Choice>
  </mc:AlternateContent>
  <xr:revisionPtr revIDLastSave="200" documentId="8_{B7C00EA3-DAB7-4C64-96D7-36D3918F8032}" xr6:coauthVersionLast="47" xr6:coauthVersionMax="47" xr10:uidLastSave="{7ABB07CA-1C8E-433D-88CD-9C5C3D02B5F2}"/>
  <bookViews>
    <workbookView xWindow="22590" yWindow="195" windowWidth="24330" windowHeight="19740" xr2:uid="{9D9DB301-0BF2-4D2E-AE68-BE712E8C16DC}"/>
  </bookViews>
  <sheets>
    <sheet name="Bayer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D70" i="1"/>
  <c r="E70" i="1" s="1"/>
  <c r="F70" i="1" s="1"/>
  <c r="G70" i="1" s="1"/>
  <c r="H70" i="1" s="1"/>
  <c r="C57" i="1"/>
  <c r="C53" i="1"/>
  <c r="B51" i="1"/>
  <c r="B49" i="1"/>
  <c r="B48" i="1"/>
  <c r="B47" i="1"/>
  <c r="H74" i="1"/>
  <c r="H65" i="1" l="1"/>
  <c r="B45" i="1"/>
  <c r="B44" i="1"/>
  <c r="A41" i="1"/>
  <c r="G80" i="1"/>
  <c r="F80" i="1"/>
  <c r="E80" i="1"/>
  <c r="D80" i="1"/>
  <c r="C80" i="1"/>
  <c r="C47" i="1" s="1"/>
  <c r="B80" i="1"/>
  <c r="G75" i="1"/>
  <c r="F75" i="1"/>
  <c r="E75" i="1"/>
  <c r="E74" i="1" s="1"/>
  <c r="D75" i="1"/>
  <c r="C75" i="1"/>
  <c r="B75" i="1"/>
  <c r="G65" i="1"/>
  <c r="F65" i="1"/>
  <c r="E65" i="1"/>
  <c r="D65" i="1"/>
  <c r="C65" i="1"/>
  <c r="B38" i="1"/>
  <c r="D35" i="1"/>
  <c r="E35" i="1" s="1"/>
  <c r="F35" i="1" s="1"/>
  <c r="G35" i="1" s="1"/>
  <c r="D34" i="1"/>
  <c r="E34" i="1" s="1"/>
  <c r="F34" i="1" s="1"/>
  <c r="G34" i="1" s="1"/>
  <c r="C36" i="1"/>
  <c r="B36" i="1"/>
  <c r="B35" i="1"/>
  <c r="B34" i="1"/>
  <c r="B32" i="1"/>
  <c r="B29" i="1"/>
  <c r="G3" i="1"/>
  <c r="C3" i="1"/>
  <c r="B24" i="1"/>
  <c r="B21" i="1"/>
  <c r="B19" i="1"/>
  <c r="B17" i="1"/>
  <c r="B14" i="1"/>
  <c r="B11" i="1"/>
  <c r="F8" i="1"/>
  <c r="F14" i="1" s="1"/>
  <c r="E8" i="1"/>
  <c r="E14" i="1" s="1"/>
  <c r="D8" i="1"/>
  <c r="D14" i="1" s="1"/>
  <c r="C8" i="1"/>
  <c r="C14" i="1" s="1"/>
  <c r="B8" i="1"/>
  <c r="F6" i="1"/>
  <c r="E6" i="1"/>
  <c r="D6" i="1"/>
  <c r="C6" i="1"/>
  <c r="B5" i="1"/>
  <c r="F3" i="1"/>
  <c r="E3" i="1"/>
  <c r="D3" i="1"/>
  <c r="D1" i="1"/>
  <c r="E1" i="1" s="1"/>
  <c r="F1" i="1" s="1"/>
  <c r="G1" i="1" s="1"/>
  <c r="F9" i="1" l="1"/>
  <c r="C9" i="1"/>
  <c r="E9" i="1"/>
  <c r="D9" i="1"/>
  <c r="D79" i="1"/>
  <c r="F79" i="1"/>
  <c r="G74" i="1"/>
  <c r="C79" i="1"/>
  <c r="D74" i="1"/>
  <c r="F74" i="1"/>
  <c r="C74" i="1"/>
  <c r="E79" i="1"/>
  <c r="G5" i="1"/>
  <c r="G6" i="1" s="1"/>
  <c r="G79" i="1"/>
  <c r="G8" i="1"/>
  <c r="G14" i="1" s="1"/>
  <c r="E36" i="1"/>
  <c r="F36" i="1"/>
  <c r="G36" i="1"/>
  <c r="D36" i="1"/>
  <c r="C29" i="1"/>
  <c r="D29" i="1"/>
  <c r="E29" i="1"/>
  <c r="F29" i="1"/>
  <c r="G15" i="1" l="1"/>
  <c r="G30" i="1" s="1"/>
  <c r="G29" i="1"/>
  <c r="G9" i="1"/>
  <c r="F19" i="1"/>
  <c r="F21" i="1" s="1"/>
  <c r="F15" i="1"/>
  <c r="F30" i="1" s="1"/>
  <c r="E19" i="1"/>
  <c r="E15" i="1"/>
  <c r="E30" i="1" s="1"/>
  <c r="D19" i="1"/>
  <c r="D21" i="1" s="1"/>
  <c r="D15" i="1"/>
  <c r="D30" i="1" s="1"/>
  <c r="C19" i="1"/>
  <c r="C21" i="1" s="1"/>
  <c r="C15" i="1"/>
  <c r="C30" i="1" s="1"/>
  <c r="G19" i="1" l="1"/>
  <c r="G21" i="1" s="1"/>
  <c r="G24" i="1" s="1"/>
  <c r="C24" i="1"/>
  <c r="C22" i="1"/>
  <c r="D24" i="1"/>
  <c r="D22" i="1"/>
  <c r="F24" i="1"/>
  <c r="F22" i="1"/>
  <c r="E21" i="1"/>
  <c r="G22" i="1" l="1"/>
  <c r="G32" i="1" s="1"/>
  <c r="G38" i="1" s="1"/>
  <c r="G72" i="1"/>
  <c r="H72" i="1" s="1"/>
  <c r="H64" i="1" s="1"/>
  <c r="H39" i="1" s="1"/>
  <c r="G39" i="1"/>
  <c r="H38" i="1"/>
  <c r="F72" i="1"/>
  <c r="F64" i="1" s="1"/>
  <c r="F41" i="1" s="1"/>
  <c r="F32" i="1"/>
  <c r="F38" i="1" s="1"/>
  <c r="E24" i="1"/>
  <c r="E22" i="1"/>
  <c r="D72" i="1"/>
  <c r="D64" i="1" s="1"/>
  <c r="D41" i="1" s="1"/>
  <c r="D32" i="1"/>
  <c r="D38" i="1" s="1"/>
  <c r="C72" i="1"/>
  <c r="C64" i="1" s="1"/>
  <c r="C41" i="1" s="1"/>
  <c r="C32" i="1"/>
  <c r="C38" i="1" s="1"/>
  <c r="I38" i="1" l="1"/>
  <c r="I44" i="1" s="1"/>
  <c r="G64" i="1"/>
  <c r="G41" i="1" s="1"/>
  <c r="G44" i="1" s="1"/>
  <c r="F39" i="1"/>
  <c r="F44" i="1"/>
  <c r="C39" i="1"/>
  <c r="C44" i="1"/>
  <c r="D39" i="1"/>
  <c r="D44" i="1"/>
  <c r="E72" i="1"/>
  <c r="E64" i="1" s="1"/>
  <c r="E41" i="1" s="1"/>
  <c r="E32" i="1"/>
  <c r="E38" i="1" s="1"/>
  <c r="E39" i="1" l="1"/>
  <c r="E44" i="1"/>
  <c r="C45" i="1" s="1"/>
  <c r="C51" i="1" s="1"/>
  <c r="C55" i="1" s="1"/>
  <c r="C59" i="1" s="1"/>
</calcChain>
</file>

<file path=xl/sharedStrings.xml><?xml version="1.0" encoding="utf-8"?>
<sst xmlns="http://schemas.openxmlformats.org/spreadsheetml/2006/main" count="74" uniqueCount="48">
  <si>
    <t>FX</t>
  </si>
  <si>
    <t>Umsatz</t>
  </si>
  <si>
    <t>EUR Mrd.</t>
  </si>
  <si>
    <t>Veränderung ggü. Vj</t>
  </si>
  <si>
    <t>%</t>
  </si>
  <si>
    <t>in % der Umsätze</t>
  </si>
  <si>
    <t>EBITDA vor Sondereinflüsse</t>
  </si>
  <si>
    <t>EBITDA nach Sondereinflüsse</t>
  </si>
  <si>
    <t>Abschreibungen</t>
  </si>
  <si>
    <t>EBIT</t>
  </si>
  <si>
    <t>Zinsaufwand</t>
  </si>
  <si>
    <t>EBT</t>
  </si>
  <si>
    <t>Steuern</t>
  </si>
  <si>
    <t>Nachsteuerergebnis</t>
  </si>
  <si>
    <t>Steuerquote</t>
  </si>
  <si>
    <t>EBIT(1-Steuerquote)=NOPAT</t>
  </si>
  <si>
    <t>Bruttoinvestitionen</t>
  </si>
  <si>
    <t>Nettoinvestitionen</t>
  </si>
  <si>
    <t>FCFF</t>
  </si>
  <si>
    <t>Diskontierungssatz</t>
  </si>
  <si>
    <t>WACC</t>
  </si>
  <si>
    <t>Kosten des Eigenkapitals</t>
  </si>
  <si>
    <t>rf</t>
  </si>
  <si>
    <t>ß</t>
  </si>
  <si>
    <t>rp</t>
  </si>
  <si>
    <t>rD</t>
  </si>
  <si>
    <t>EKQ</t>
  </si>
  <si>
    <t>FKQ</t>
  </si>
  <si>
    <t>Kurs</t>
  </si>
  <si>
    <t>Anzahl der Aktien</t>
  </si>
  <si>
    <t>Marktkapitalisierung</t>
  </si>
  <si>
    <t>EUR</t>
  </si>
  <si>
    <t>Mio.</t>
  </si>
  <si>
    <t>Zinstragende Fremdkapital</t>
  </si>
  <si>
    <t>Barwert der FCFF</t>
  </si>
  <si>
    <t>Terminal Value</t>
  </si>
  <si>
    <t>Summe der Barwerte der FCFF=EV</t>
  </si>
  <si>
    <t>Bruttoverschuldung</t>
  </si>
  <si>
    <t>Cash</t>
  </si>
  <si>
    <t>NOA</t>
  </si>
  <si>
    <t>tbd</t>
  </si>
  <si>
    <t>Wert des Eigenkapitals</t>
  </si>
  <si>
    <t>Anzahl Aktien</t>
  </si>
  <si>
    <t>Wert des Eigenkapitals je Aktie</t>
  </si>
  <si>
    <t>Aktueller Kurs</t>
  </si>
  <si>
    <t>Kurspotenzial</t>
  </si>
  <si>
    <t>Rechenposition</t>
  </si>
  <si>
    <t>Anlageurteil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</si>
</sst>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%"/>
  </numFmts>
  <fonts count="7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165" fontId="0" fillId="2" borderId="0" xfId="1" applyNumberFormat="1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0" fontId="3" fillId="0" borderId="0" xfId="1" applyNumberFormat="1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0" fontId="0" fillId="2" borderId="0" xfId="0" applyNumberFormat="1" applyFill="1" applyAlignment="1">
      <alignment horizontal="right" vertical="center"/>
    </xf>
    <xf numFmtId="10" fontId="0" fillId="0" borderId="0" xfId="1" applyNumberFormat="1" applyFont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164" fontId="0" fillId="4" borderId="0" xfId="0" applyNumberFormat="1" applyFill="1" applyAlignment="1">
      <alignment horizontal="right" vertical="center"/>
    </xf>
    <xf numFmtId="10" fontId="0" fillId="4" borderId="0" xfId="0" applyNumberForma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0" fontId="2" fillId="4" borderId="0" xfId="0" applyNumberFormat="1" applyFont="1" applyFill="1" applyAlignment="1">
      <alignment horizontal="right" vertical="center"/>
    </xf>
    <xf numFmtId="10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10" fontId="3" fillId="4" borderId="0" xfId="1" applyNumberFormat="1" applyFont="1" applyFill="1" applyAlignment="1">
      <alignment horizontal="right" vertical="center"/>
    </xf>
    <xf numFmtId="165" fontId="0" fillId="4" borderId="0" xfId="0" applyNumberFormat="1" applyFill="1" applyAlignment="1">
      <alignment horizontal="right" vertical="center"/>
    </xf>
    <xf numFmtId="165" fontId="0" fillId="4" borderId="0" xfId="1" applyNumberFormat="1" applyFont="1" applyFill="1" applyAlignment="1">
      <alignment horizontal="right" vertical="center"/>
    </xf>
    <xf numFmtId="4" fontId="3" fillId="4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164" fontId="0" fillId="3" borderId="0" xfId="0" applyNumberFormat="1" applyFill="1" applyAlignment="1">
      <alignment horizontal="left" vertical="center"/>
    </xf>
    <xf numFmtId="4" fontId="0" fillId="3" borderId="0" xfId="0" applyNumberForma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50FA8-BF0D-472F-82B4-E11B526BF62A}">
  <dimension ref="A1:I80"/>
  <sheetViews>
    <sheetView tabSelected="1" zoomScale="190" zoomScaleNormal="190" workbookViewId="0">
      <pane xSplit="2" ySplit="1" topLeftCell="C41" activePane="bottomRight" state="frozen"/>
      <selection pane="topRight" activeCell="C1" sqref="C1"/>
      <selection pane="bottomLeft" activeCell="A2" sqref="A2"/>
      <selection pane="bottomRight" activeCell="D49" sqref="D49"/>
    </sheetView>
  </sheetViews>
  <sheetFormatPr baseColWidth="10" defaultRowHeight="12" x14ac:dyDescent="0.2"/>
  <cols>
    <col min="1" max="1" width="29.7109375" style="3" bestFit="1" customWidth="1"/>
    <col min="2" max="2" width="11.42578125" style="3"/>
    <col min="3" max="9" width="11.42578125" style="2"/>
    <col min="10" max="16384" width="11.42578125" style="1"/>
  </cols>
  <sheetData>
    <row r="1" spans="1:9" x14ac:dyDescent="0.2">
      <c r="B1" s="3" t="s">
        <v>0</v>
      </c>
      <c r="C1" s="2">
        <v>2024</v>
      </c>
      <c r="D1" s="2">
        <f>C1+1</f>
        <v>2025</v>
      </c>
      <c r="E1" s="2">
        <f>D1+1</f>
        <v>2026</v>
      </c>
      <c r="F1" s="2">
        <f>E1+1</f>
        <v>2027</v>
      </c>
      <c r="G1" s="2">
        <f>F1+1</f>
        <v>2028</v>
      </c>
      <c r="H1" s="2" t="s">
        <v>35</v>
      </c>
    </row>
    <row r="2" spans="1:9" s="6" customFormat="1" x14ac:dyDescent="0.2">
      <c r="A2" s="4" t="s">
        <v>1</v>
      </c>
      <c r="B2" s="4" t="s">
        <v>2</v>
      </c>
      <c r="C2" s="7">
        <v>47.337000000000003</v>
      </c>
      <c r="D2" s="7">
        <v>48.331000000000003</v>
      </c>
      <c r="E2" s="7">
        <v>49.058999999999997</v>
      </c>
      <c r="F2" s="7">
        <v>49.686</v>
      </c>
      <c r="G2" s="7">
        <v>50.281999999999996</v>
      </c>
      <c r="H2" s="7"/>
      <c r="I2" s="5"/>
    </row>
    <row r="3" spans="1:9" x14ac:dyDescent="0.2">
      <c r="A3" s="3" t="s">
        <v>3</v>
      </c>
      <c r="B3" s="3" t="s">
        <v>4</v>
      </c>
      <c r="C3" s="8" t="str">
        <f>IFERROR(C2/B2-1,"n/a")</f>
        <v>n/a</v>
      </c>
      <c r="D3" s="8">
        <f>IFERROR(D2/C2-1,"n/a")</f>
        <v>2.0998373365443523E-2</v>
      </c>
      <c r="E3" s="8">
        <f t="shared" ref="E3:G3" si="0">IFERROR(E2/D2-1,"n/a")</f>
        <v>1.5062796134985623E-2</v>
      </c>
      <c r="F3" s="8">
        <f t="shared" si="0"/>
        <v>1.2780529566440491E-2</v>
      </c>
      <c r="G3" s="8">
        <f t="shared" si="0"/>
        <v>1.1995330676649374E-2</v>
      </c>
    </row>
    <row r="5" spans="1:9" x14ac:dyDescent="0.2">
      <c r="A5" s="3" t="s">
        <v>6</v>
      </c>
      <c r="B5" s="4" t="str">
        <f>$B$2</f>
        <v>EUR Mrd.</v>
      </c>
      <c r="C5" s="7">
        <v>10.69</v>
      </c>
      <c r="D5" s="7">
        <v>11.223000000000001</v>
      </c>
      <c r="E5" s="7">
        <v>11.513</v>
      </c>
      <c r="F5" s="7">
        <v>11.741</v>
      </c>
      <c r="G5" s="7">
        <f>F6*G2</f>
        <v>11.881837177474539</v>
      </c>
    </row>
    <row r="6" spans="1:9" x14ac:dyDescent="0.2">
      <c r="A6" s="3" t="s">
        <v>5</v>
      </c>
      <c r="B6" s="3" t="s">
        <v>4</v>
      </c>
      <c r="C6" s="9">
        <f>IFERROR(C5/C2,"n/a")</f>
        <v>0.22582757673701331</v>
      </c>
      <c r="D6" s="9">
        <f t="shared" ref="D6:G6" si="1">IFERROR(D5/D2,"n/a")</f>
        <v>0.2322112101963543</v>
      </c>
      <c r="E6" s="9">
        <f t="shared" si="1"/>
        <v>0.23467661387309161</v>
      </c>
      <c r="F6" s="9">
        <f t="shared" si="1"/>
        <v>0.23630398905124178</v>
      </c>
      <c r="G6" s="9">
        <f t="shared" si="1"/>
        <v>0.23630398905124178</v>
      </c>
    </row>
    <row r="8" spans="1:9" x14ac:dyDescent="0.2">
      <c r="A8" s="3" t="s">
        <v>7</v>
      </c>
      <c r="B8" s="4" t="str">
        <f>$B$2</f>
        <v>EUR Mrd.</v>
      </c>
      <c r="C8" s="7">
        <f>C5-0.62</f>
        <v>10.07</v>
      </c>
      <c r="D8" s="7">
        <f>D5-0.439</f>
        <v>10.784000000000001</v>
      </c>
      <c r="E8" s="7">
        <f>E5-0.202</f>
        <v>11.311</v>
      </c>
      <c r="F8" s="7">
        <f>F5-0.197</f>
        <v>11.544</v>
      </c>
      <c r="G8" s="7">
        <f>F9*G2</f>
        <v>11.682474097331241</v>
      </c>
    </row>
    <row r="9" spans="1:9" x14ac:dyDescent="0.2">
      <c r="A9" s="3" t="s">
        <v>5</v>
      </c>
      <c r="B9" s="3" t="s">
        <v>4</v>
      </c>
      <c r="C9" s="9">
        <f>IFERROR(C8/C2,"n/a")</f>
        <v>0.21272999978874876</v>
      </c>
      <c r="D9" s="9">
        <f t="shared" ref="D9:G9" si="2">IFERROR(D8/D2,"n/a")</f>
        <v>0.22312801307649335</v>
      </c>
      <c r="E9" s="9">
        <f t="shared" si="2"/>
        <v>0.23055912268900713</v>
      </c>
      <c r="F9" s="9">
        <f t="shared" si="2"/>
        <v>0.23233908948194665</v>
      </c>
      <c r="G9" s="9">
        <f t="shared" si="2"/>
        <v>0.23233908948194665</v>
      </c>
    </row>
    <row r="11" spans="1:9" x14ac:dyDescent="0.2">
      <c r="A11" s="3" t="s">
        <v>8</v>
      </c>
      <c r="B11" s="4" t="str">
        <f>$B$2</f>
        <v>EUR Mrd.</v>
      </c>
      <c r="C11" s="7">
        <v>-3.5</v>
      </c>
      <c r="D11" s="7">
        <v>-3.5</v>
      </c>
      <c r="E11" s="7">
        <v>-3.5</v>
      </c>
      <c r="F11" s="7">
        <v>-3.5</v>
      </c>
      <c r="G11" s="7">
        <v>-3.5</v>
      </c>
      <c r="H11" s="7"/>
    </row>
    <row r="12" spans="1:9" x14ac:dyDescent="0.2">
      <c r="A12" s="3" t="s">
        <v>46</v>
      </c>
      <c r="B12" s="4"/>
      <c r="C12" s="7"/>
      <c r="D12" s="7"/>
      <c r="E12" s="7"/>
      <c r="F12" s="7"/>
      <c r="G12" s="7"/>
      <c r="H12" s="7"/>
    </row>
    <row r="13" spans="1:9" x14ac:dyDescent="0.2">
      <c r="C13" s="7"/>
      <c r="D13" s="7"/>
      <c r="E13" s="7"/>
      <c r="F13" s="7"/>
      <c r="G13" s="7"/>
      <c r="H13" s="7"/>
    </row>
    <row r="14" spans="1:9" s="20" customFormat="1" x14ac:dyDescent="0.2">
      <c r="A14" s="15" t="s">
        <v>9</v>
      </c>
      <c r="B14" s="16" t="str">
        <f>$B$2</f>
        <v>EUR Mrd.</v>
      </c>
      <c r="C14" s="17">
        <f>C8+C11+C12</f>
        <v>6.57</v>
      </c>
      <c r="D14" s="17">
        <f t="shared" ref="D14:G14" si="3">D8+D11+D12</f>
        <v>7.2840000000000007</v>
      </c>
      <c r="E14" s="17">
        <f t="shared" si="3"/>
        <v>7.8109999999999999</v>
      </c>
      <c r="F14" s="17">
        <f t="shared" si="3"/>
        <v>8.0440000000000005</v>
      </c>
      <c r="G14" s="17">
        <f t="shared" si="3"/>
        <v>8.1824740973312409</v>
      </c>
      <c r="H14" s="18"/>
      <c r="I14" s="19"/>
    </row>
    <row r="15" spans="1:9" s="24" customFormat="1" x14ac:dyDescent="0.2">
      <c r="A15" s="21" t="s">
        <v>5</v>
      </c>
      <c r="B15" s="21" t="s">
        <v>4</v>
      </c>
      <c r="C15" s="22">
        <f>IFERROR(C14/C2,"n/a")</f>
        <v>0.13879206540338423</v>
      </c>
      <c r="D15" s="22">
        <f>IFERROR(D14/D2,"n/a")</f>
        <v>0.15071072396598456</v>
      </c>
      <c r="E15" s="22">
        <f>IFERROR(E14/E2,"n/a")</f>
        <v>0.15921645365784057</v>
      </c>
      <c r="F15" s="22">
        <f>IFERROR(F14/F2,"n/a")</f>
        <v>0.1618967113472608</v>
      </c>
      <c r="G15" s="22">
        <f>IFERROR(G14/G2,"n/a")</f>
        <v>0.16273167529794441</v>
      </c>
      <c r="H15" s="23"/>
      <c r="I15" s="23"/>
    </row>
    <row r="16" spans="1:9" x14ac:dyDescent="0.2">
      <c r="C16" s="3"/>
      <c r="D16" s="3"/>
      <c r="E16" s="3"/>
      <c r="F16" s="3"/>
      <c r="G16" s="3"/>
      <c r="H16" s="7"/>
    </row>
    <row r="17" spans="1:8" x14ac:dyDescent="0.2">
      <c r="A17" s="3" t="s">
        <v>10</v>
      </c>
      <c r="B17" s="4" t="str">
        <f>$B$2</f>
        <v>EUR Mrd.</v>
      </c>
      <c r="C17" s="7">
        <v>-2.2000000000000002</v>
      </c>
      <c r="D17" s="7">
        <v>-2.2000000000000002</v>
      </c>
      <c r="E17" s="7">
        <v>-2.2000000000000002</v>
      </c>
      <c r="F17" s="7">
        <v>-2.2000000000000002</v>
      </c>
      <c r="G17" s="7">
        <v>-2.2000000000000002</v>
      </c>
      <c r="H17" s="7"/>
    </row>
    <row r="18" spans="1:8" x14ac:dyDescent="0.2">
      <c r="C18" s="7"/>
      <c r="D18" s="7"/>
      <c r="E18" s="7"/>
      <c r="F18" s="7"/>
      <c r="G18" s="7"/>
      <c r="H18" s="7"/>
    </row>
    <row r="19" spans="1:8" x14ac:dyDescent="0.2">
      <c r="A19" s="3" t="s">
        <v>11</v>
      </c>
      <c r="B19" s="4" t="str">
        <f>$B$2</f>
        <v>EUR Mrd.</v>
      </c>
      <c r="C19" s="10">
        <f>C14+C17</f>
        <v>4.37</v>
      </c>
      <c r="D19" s="10">
        <f t="shared" ref="D19:G19" si="4">D14+D17</f>
        <v>5.0840000000000005</v>
      </c>
      <c r="E19" s="10">
        <f t="shared" si="4"/>
        <v>5.6109999999999998</v>
      </c>
      <c r="F19" s="10">
        <f t="shared" si="4"/>
        <v>5.8440000000000003</v>
      </c>
      <c r="G19" s="10">
        <f t="shared" si="4"/>
        <v>5.9824740973312407</v>
      </c>
      <c r="H19" s="7"/>
    </row>
    <row r="20" spans="1:8" x14ac:dyDescent="0.2">
      <c r="C20" s="7"/>
      <c r="D20" s="7"/>
      <c r="E20" s="7"/>
      <c r="F20" s="7"/>
      <c r="G20" s="7"/>
      <c r="H20" s="7"/>
    </row>
    <row r="21" spans="1:8" x14ac:dyDescent="0.2">
      <c r="A21" s="3" t="s">
        <v>12</v>
      </c>
      <c r="B21" s="4" t="str">
        <f>$B$2</f>
        <v>EUR Mrd.</v>
      </c>
      <c r="C21" s="7">
        <f>-0.23*C19</f>
        <v>-1.0051000000000001</v>
      </c>
      <c r="D21" s="7">
        <f t="shared" ref="D21:G21" si="5">-0.23*D19</f>
        <v>-1.1693200000000001</v>
      </c>
      <c r="E21" s="7">
        <f t="shared" si="5"/>
        <v>-1.29053</v>
      </c>
      <c r="F21" s="7">
        <f t="shared" si="5"/>
        <v>-1.3441200000000002</v>
      </c>
      <c r="G21" s="7">
        <f t="shared" si="5"/>
        <v>-1.3759690423861854</v>
      </c>
      <c r="H21" s="7"/>
    </row>
    <row r="22" spans="1:8" x14ac:dyDescent="0.2">
      <c r="A22" s="3" t="s">
        <v>14</v>
      </c>
      <c r="B22" s="4" t="s">
        <v>4</v>
      </c>
      <c r="C22" s="11">
        <f>C21/C19</f>
        <v>-0.23</v>
      </c>
      <c r="D22" s="11">
        <f t="shared" ref="D22:G22" si="6">D21/D19</f>
        <v>-0.23</v>
      </c>
      <c r="E22" s="11">
        <f t="shared" si="6"/>
        <v>-0.23</v>
      </c>
      <c r="F22" s="11">
        <f t="shared" si="6"/>
        <v>-0.23</v>
      </c>
      <c r="G22" s="11">
        <f t="shared" si="6"/>
        <v>-0.23</v>
      </c>
      <c r="H22" s="7"/>
    </row>
    <row r="23" spans="1:8" x14ac:dyDescent="0.2">
      <c r="C23" s="7"/>
      <c r="D23" s="7"/>
      <c r="E23" s="7"/>
      <c r="F23" s="7"/>
      <c r="G23" s="7"/>
      <c r="H23" s="7"/>
    </row>
    <row r="24" spans="1:8" x14ac:dyDescent="0.2">
      <c r="A24" s="3" t="s">
        <v>13</v>
      </c>
      <c r="B24" s="4" t="str">
        <f>$B$2</f>
        <v>EUR Mrd.</v>
      </c>
      <c r="C24" s="10">
        <f>C19+C21</f>
        <v>3.3649</v>
      </c>
      <c r="D24" s="10">
        <f t="shared" ref="D24:G24" si="7">D19+D21</f>
        <v>3.9146800000000006</v>
      </c>
      <c r="E24" s="10">
        <f t="shared" si="7"/>
        <v>4.3204700000000003</v>
      </c>
      <c r="F24" s="10">
        <f t="shared" si="7"/>
        <v>4.4998800000000001</v>
      </c>
      <c r="G24" s="10">
        <f t="shared" si="7"/>
        <v>4.606505054945055</v>
      </c>
      <c r="H24" s="7"/>
    </row>
    <row r="29" spans="1:8" x14ac:dyDescent="0.2">
      <c r="A29" s="15" t="s">
        <v>9</v>
      </c>
      <c r="B29" s="16" t="str">
        <f>$B$2</f>
        <v>EUR Mrd.</v>
      </c>
      <c r="C29" s="17">
        <f>C14</f>
        <v>6.57</v>
      </c>
      <c r="D29" s="17">
        <f t="shared" ref="D29:G29" si="8">D14</f>
        <v>7.2840000000000007</v>
      </c>
      <c r="E29" s="17">
        <f t="shared" si="8"/>
        <v>7.8109999999999999</v>
      </c>
      <c r="F29" s="17">
        <f t="shared" si="8"/>
        <v>8.0440000000000005</v>
      </c>
      <c r="G29" s="17">
        <f t="shared" si="8"/>
        <v>8.1824740973312409</v>
      </c>
    </row>
    <row r="30" spans="1:8" x14ac:dyDescent="0.2">
      <c r="A30" s="21" t="s">
        <v>5</v>
      </c>
      <c r="B30" s="21" t="s">
        <v>4</v>
      </c>
      <c r="C30" s="22">
        <f>C15</f>
        <v>0.13879206540338423</v>
      </c>
      <c r="D30" s="22">
        <f t="shared" ref="D30:G30" si="9">D15</f>
        <v>0.15071072396598456</v>
      </c>
      <c r="E30" s="22">
        <f t="shared" si="9"/>
        <v>0.15921645365784057</v>
      </c>
      <c r="F30" s="22">
        <f t="shared" si="9"/>
        <v>0.1618967113472608</v>
      </c>
      <c r="G30" s="22">
        <f t="shared" si="9"/>
        <v>0.16273167529794441</v>
      </c>
    </row>
    <row r="32" spans="1:8" x14ac:dyDescent="0.2">
      <c r="A32" s="3" t="s">
        <v>15</v>
      </c>
      <c r="B32" s="4" t="str">
        <f>$B$2</f>
        <v>EUR Mrd.</v>
      </c>
      <c r="C32" s="5">
        <f>(1+C22)*C29</f>
        <v>5.0589000000000004</v>
      </c>
      <c r="D32" s="5">
        <f t="shared" ref="D32:G32" si="10">(1+D22)*D29</f>
        <v>5.6086800000000006</v>
      </c>
      <c r="E32" s="5">
        <f t="shared" si="10"/>
        <v>6.0144700000000002</v>
      </c>
      <c r="F32" s="5">
        <f t="shared" si="10"/>
        <v>6.1938800000000009</v>
      </c>
      <c r="G32" s="5">
        <f t="shared" si="10"/>
        <v>6.3005050549450559</v>
      </c>
    </row>
    <row r="34" spans="1:9" x14ac:dyDescent="0.2">
      <c r="A34" s="3" t="s">
        <v>16</v>
      </c>
      <c r="B34" s="4" t="str">
        <f t="shared" ref="B34:B38" si="11">$B$2</f>
        <v>EUR Mrd.</v>
      </c>
      <c r="C34" s="7">
        <v>-3.5</v>
      </c>
      <c r="D34" s="7">
        <f>C34-0.5</f>
        <v>-4</v>
      </c>
      <c r="E34" s="7">
        <f>D34-0.5</f>
        <v>-4.5</v>
      </c>
      <c r="F34" s="7">
        <f>E34-0.5</f>
        <v>-5</v>
      </c>
      <c r="G34" s="7">
        <f>F34-0.5</f>
        <v>-5.5</v>
      </c>
    </row>
    <row r="35" spans="1:9" x14ac:dyDescent="0.2">
      <c r="A35" s="3" t="s">
        <v>8</v>
      </c>
      <c r="B35" s="4" t="str">
        <f t="shared" si="11"/>
        <v>EUR Mrd.</v>
      </c>
      <c r="C35" s="7">
        <v>3</v>
      </c>
      <c r="D35" s="7">
        <f>C35+0.5</f>
        <v>3.5</v>
      </c>
      <c r="E35" s="7">
        <f>D35+0.5</f>
        <v>4</v>
      </c>
      <c r="F35" s="7">
        <f>E35+0.5</f>
        <v>4.5</v>
      </c>
      <c r="G35" s="7">
        <f>F35+0.5</f>
        <v>5</v>
      </c>
    </row>
    <row r="36" spans="1:9" x14ac:dyDescent="0.2">
      <c r="A36" s="3" t="s">
        <v>17</v>
      </c>
      <c r="B36" s="4" t="str">
        <f t="shared" si="11"/>
        <v>EUR Mrd.</v>
      </c>
      <c r="C36" s="5">
        <f>C34+C35</f>
        <v>-0.5</v>
      </c>
      <c r="D36" s="5">
        <f t="shared" ref="D36:G36" si="12">D34+D35</f>
        <v>-0.5</v>
      </c>
      <c r="E36" s="5">
        <f t="shared" si="12"/>
        <v>-0.5</v>
      </c>
      <c r="F36" s="5">
        <f t="shared" si="12"/>
        <v>-0.5</v>
      </c>
      <c r="G36" s="5">
        <f t="shared" si="12"/>
        <v>-0.5</v>
      </c>
    </row>
    <row r="38" spans="1:9" x14ac:dyDescent="0.2">
      <c r="A38" s="15" t="s">
        <v>18</v>
      </c>
      <c r="B38" s="16" t="str">
        <f t="shared" si="11"/>
        <v>EUR Mrd.</v>
      </c>
      <c r="C38" s="25">
        <f>C32+C36</f>
        <v>4.5589000000000004</v>
      </c>
      <c r="D38" s="25">
        <f t="shared" ref="D38:G38" si="13">D32+D36</f>
        <v>5.1086800000000006</v>
      </c>
      <c r="E38" s="25">
        <f t="shared" si="13"/>
        <v>5.5144700000000002</v>
      </c>
      <c r="F38" s="25">
        <f t="shared" si="13"/>
        <v>5.6938800000000009</v>
      </c>
      <c r="G38" s="25">
        <f t="shared" si="13"/>
        <v>5.8005050549450559</v>
      </c>
      <c r="H38" s="38">
        <f>G38*(1+C66)</f>
        <v>5.9466777823296706</v>
      </c>
      <c r="I38" s="40">
        <f>H38/H39</f>
        <v>100.57935260275094</v>
      </c>
    </row>
    <row r="39" spans="1:9" x14ac:dyDescent="0.2">
      <c r="A39" s="21" t="s">
        <v>5</v>
      </c>
      <c r="B39" s="21" t="s">
        <v>4</v>
      </c>
      <c r="C39" s="22">
        <f>C38/C2</f>
        <v>9.6307328305553802E-2</v>
      </c>
      <c r="D39" s="22">
        <f>D38/D2</f>
        <v>0.10570193043802115</v>
      </c>
      <c r="E39" s="22">
        <f>E38/E2</f>
        <v>0.11240485945494202</v>
      </c>
      <c r="F39" s="22">
        <f>F38/F2</f>
        <v>0.11459727086100714</v>
      </c>
      <c r="G39" s="22">
        <f>G38/G2</f>
        <v>0.11535947366741689</v>
      </c>
      <c r="H39" s="39">
        <f>H64-H66</f>
        <v>5.9124239999999995E-2</v>
      </c>
    </row>
    <row r="41" spans="1:9" x14ac:dyDescent="0.2">
      <c r="A41" s="3" t="str">
        <f>A64</f>
        <v>WACC</v>
      </c>
      <c r="B41" s="3" t="s">
        <v>4</v>
      </c>
      <c r="C41" s="32">
        <f>C64</f>
        <v>5.4876290731900049E-2</v>
      </c>
      <c r="D41" s="32">
        <f>D64</f>
        <v>5.4876290731900049E-2</v>
      </c>
      <c r="E41" s="32">
        <f>E64</f>
        <v>5.4876290731900049E-2</v>
      </c>
      <c r="F41" s="32">
        <f>F64</f>
        <v>5.4876290731900049E-2</v>
      </c>
      <c r="G41" s="32">
        <f>G64</f>
        <v>5.4876290731900049E-2</v>
      </c>
    </row>
    <row r="43" spans="1:9" x14ac:dyDescent="0.2">
      <c r="C43" s="2">
        <v>1</v>
      </c>
      <c r="D43" s="2">
        <v>2</v>
      </c>
      <c r="E43" s="2">
        <v>3</v>
      </c>
      <c r="F43" s="2">
        <v>4</v>
      </c>
      <c r="G43" s="2">
        <v>5</v>
      </c>
    </row>
    <row r="44" spans="1:9" x14ac:dyDescent="0.2">
      <c r="A44" s="34" t="s">
        <v>34</v>
      </c>
      <c r="B44" s="35" t="str">
        <f t="shared" ref="B44:B51" si="14">$B$2</f>
        <v>EUR Mrd.</v>
      </c>
      <c r="C44" s="36">
        <f>C38/((1+C41)^C43)</f>
        <v>4.3217389944719677</v>
      </c>
      <c r="D44" s="36">
        <f>D38/((1+D41)^D43)</f>
        <v>4.590982500922383</v>
      </c>
      <c r="E44" s="36">
        <f>E38/((1+E41)^E43)</f>
        <v>4.6978504183484304</v>
      </c>
      <c r="F44" s="36">
        <f>F38/((1+F41)^F43)</f>
        <v>4.5983517013477631</v>
      </c>
      <c r="G44" s="36">
        <f>G38/((1+G41)^G43)</f>
        <v>4.4407686986535051</v>
      </c>
      <c r="I44" s="40">
        <f>I38/((1+H64)^G43)</f>
        <v>67.098529633106779</v>
      </c>
    </row>
    <row r="45" spans="1:9" x14ac:dyDescent="0.2">
      <c r="A45" s="34" t="s">
        <v>36</v>
      </c>
      <c r="B45" s="35" t="str">
        <f t="shared" si="14"/>
        <v>EUR Mrd.</v>
      </c>
      <c r="C45" s="36">
        <f>SUM(C44:I44)</f>
        <v>89.748221946850833</v>
      </c>
    </row>
    <row r="47" spans="1:9" x14ac:dyDescent="0.2">
      <c r="A47" s="33" t="s">
        <v>37</v>
      </c>
      <c r="B47" s="51" t="str">
        <f t="shared" si="14"/>
        <v>EUR Mrd.</v>
      </c>
      <c r="C47" s="49">
        <f>C80</f>
        <v>50.837000000000003</v>
      </c>
      <c r="D47" s="50"/>
    </row>
    <row r="48" spans="1:9" x14ac:dyDescent="0.2">
      <c r="A48" s="33" t="s">
        <v>38</v>
      </c>
      <c r="B48" s="51" t="str">
        <f t="shared" si="14"/>
        <v>EUR Mrd.</v>
      </c>
      <c r="C48" s="49">
        <v>6.8150000000000004</v>
      </c>
      <c r="D48" s="50"/>
    </row>
    <row r="49" spans="1:8" x14ac:dyDescent="0.2">
      <c r="A49" s="33" t="s">
        <v>39</v>
      </c>
      <c r="B49" s="51" t="str">
        <f t="shared" si="14"/>
        <v>EUR Mrd.</v>
      </c>
      <c r="C49" s="49">
        <v>0</v>
      </c>
      <c r="D49" s="50" t="s">
        <v>40</v>
      </c>
    </row>
    <row r="50" spans="1:8" x14ac:dyDescent="0.2">
      <c r="A50" s="33"/>
      <c r="B50" s="33"/>
      <c r="C50" s="50"/>
      <c r="D50" s="50"/>
    </row>
    <row r="51" spans="1:8" x14ac:dyDescent="0.2">
      <c r="A51" s="34" t="s">
        <v>41</v>
      </c>
      <c r="B51" s="35" t="str">
        <f t="shared" si="14"/>
        <v>EUR Mrd.</v>
      </c>
      <c r="C51" s="36">
        <f>C45-C47+C48+C49</f>
        <v>45.726221946850828</v>
      </c>
      <c r="D51" s="50"/>
    </row>
    <row r="52" spans="1:8" x14ac:dyDescent="0.2">
      <c r="A52" s="33"/>
      <c r="B52" s="33"/>
      <c r="C52" s="50"/>
      <c r="D52" s="50"/>
    </row>
    <row r="53" spans="1:8" x14ac:dyDescent="0.2">
      <c r="A53" s="33" t="s">
        <v>42</v>
      </c>
      <c r="B53" s="33" t="s">
        <v>32</v>
      </c>
      <c r="C53" s="50">
        <f>C77</f>
        <v>982.42</v>
      </c>
      <c r="D53" s="50"/>
    </row>
    <row r="54" spans="1:8" x14ac:dyDescent="0.2">
      <c r="A54" s="33"/>
      <c r="B54" s="33"/>
      <c r="C54" s="50"/>
      <c r="D54" s="50"/>
    </row>
    <row r="55" spans="1:8" x14ac:dyDescent="0.2">
      <c r="A55" s="34" t="s">
        <v>43</v>
      </c>
      <c r="B55" s="34" t="s">
        <v>31</v>
      </c>
      <c r="C55" s="54">
        <f>C51/C53*1000</f>
        <v>46.544473796187816</v>
      </c>
      <c r="D55" s="55"/>
    </row>
    <row r="56" spans="1:8" x14ac:dyDescent="0.2">
      <c r="A56" s="33"/>
      <c r="B56" s="33"/>
      <c r="C56" s="50"/>
      <c r="D56" s="50"/>
    </row>
    <row r="57" spans="1:8" x14ac:dyDescent="0.2">
      <c r="A57" s="33" t="s">
        <v>44</v>
      </c>
      <c r="B57" s="33" t="s">
        <v>31</v>
      </c>
      <c r="C57" s="52">
        <f>C76</f>
        <v>28.8</v>
      </c>
      <c r="D57" s="50"/>
    </row>
    <row r="58" spans="1:8" x14ac:dyDescent="0.2">
      <c r="A58" s="33"/>
      <c r="B58" s="33"/>
      <c r="C58" s="50"/>
      <c r="D58" s="50"/>
    </row>
    <row r="59" spans="1:8" x14ac:dyDescent="0.2">
      <c r="A59" s="34" t="s">
        <v>45</v>
      </c>
      <c r="B59" s="34" t="s">
        <v>4</v>
      </c>
      <c r="C59" s="53">
        <f>C55/C57-1</f>
        <v>0.61612756236763255</v>
      </c>
      <c r="D59" s="50"/>
    </row>
    <row r="60" spans="1:8" x14ac:dyDescent="0.2">
      <c r="A60" s="34" t="s">
        <v>47</v>
      </c>
      <c r="B60" s="34"/>
      <c r="C60" s="53" t="str">
        <f>IF(C59&gt;0,"Buy","Sell")</f>
        <v>Buy</v>
      </c>
      <c r="D60" s="50"/>
    </row>
    <row r="63" spans="1:8" x14ac:dyDescent="0.2">
      <c r="A63" s="3" t="s">
        <v>19</v>
      </c>
    </row>
    <row r="64" spans="1:8" x14ac:dyDescent="0.2">
      <c r="A64" s="21" t="s">
        <v>20</v>
      </c>
      <c r="B64" s="21" t="s">
        <v>4</v>
      </c>
      <c r="C64" s="31">
        <f>C65*C74+C70*C79*(1-C72)</f>
        <v>5.4876290731900049E-2</v>
      </c>
      <c r="D64" s="31">
        <f t="shared" ref="D64:H64" si="15">D65*D74+D70*D79*(1-D72)</f>
        <v>5.4876290731900049E-2</v>
      </c>
      <c r="E64" s="31">
        <f t="shared" si="15"/>
        <v>5.4876290731900049E-2</v>
      </c>
      <c r="F64" s="31">
        <f t="shared" si="15"/>
        <v>5.4876290731900049E-2</v>
      </c>
      <c r="G64" s="31">
        <f t="shared" si="15"/>
        <v>5.4876290731900049E-2</v>
      </c>
      <c r="H64" s="39">
        <f t="shared" si="15"/>
        <v>8.4324239999999995E-2</v>
      </c>
    </row>
    <row r="65" spans="1:9" s="14" customFormat="1" x14ac:dyDescent="0.2">
      <c r="A65" s="12" t="s">
        <v>21</v>
      </c>
      <c r="B65" s="12" t="s">
        <v>4</v>
      </c>
      <c r="C65" s="29">
        <f>C66+C67*C68</f>
        <v>9.2601599999999992E-2</v>
      </c>
      <c r="D65" s="29">
        <f t="shared" ref="D65:H65" si="16">D66+D67*D68</f>
        <v>9.2601599999999992E-2</v>
      </c>
      <c r="E65" s="29">
        <f t="shared" si="16"/>
        <v>9.2601599999999992E-2</v>
      </c>
      <c r="F65" s="29">
        <f t="shared" si="16"/>
        <v>9.2601599999999992E-2</v>
      </c>
      <c r="G65" s="29">
        <f t="shared" si="16"/>
        <v>9.2601599999999992E-2</v>
      </c>
      <c r="H65" s="41">
        <f t="shared" si="16"/>
        <v>9.2399999999999996E-2</v>
      </c>
      <c r="I65" s="13"/>
    </row>
    <row r="66" spans="1:9" x14ac:dyDescent="0.2">
      <c r="A66" s="3" t="s">
        <v>22</v>
      </c>
      <c r="B66" s="3" t="s">
        <v>4</v>
      </c>
      <c r="C66" s="26">
        <v>2.52E-2</v>
      </c>
      <c r="D66" s="26">
        <v>2.52E-2</v>
      </c>
      <c r="E66" s="26">
        <v>2.52E-2</v>
      </c>
      <c r="F66" s="26">
        <v>2.52E-2</v>
      </c>
      <c r="G66" s="26">
        <v>2.52E-2</v>
      </c>
      <c r="H66" s="42">
        <v>2.52E-2</v>
      </c>
    </row>
    <row r="67" spans="1:9" x14ac:dyDescent="0.2">
      <c r="A67" s="3" t="s">
        <v>23</v>
      </c>
      <c r="C67" s="27">
        <v>1.0029999999999999</v>
      </c>
      <c r="D67" s="27">
        <v>1.0029999999999999</v>
      </c>
      <c r="E67" s="27">
        <v>1.0029999999999999</v>
      </c>
      <c r="F67" s="27">
        <v>1.0029999999999999</v>
      </c>
      <c r="G67" s="27">
        <v>1.0029999999999999</v>
      </c>
      <c r="H67" s="43">
        <v>1</v>
      </c>
    </row>
    <row r="68" spans="1:9" x14ac:dyDescent="0.2">
      <c r="A68" s="3" t="s">
        <v>24</v>
      </c>
      <c r="B68" s="3" t="s">
        <v>4</v>
      </c>
      <c r="C68" s="28">
        <v>6.7199999999999996E-2</v>
      </c>
      <c r="D68" s="28">
        <v>6.7199999999999996E-2</v>
      </c>
      <c r="E68" s="28">
        <v>6.7199999999999996E-2</v>
      </c>
      <c r="F68" s="28">
        <v>6.7199999999999996E-2</v>
      </c>
      <c r="G68" s="28">
        <v>6.7199999999999996E-2</v>
      </c>
      <c r="H68" s="44">
        <v>6.7199999999999996E-2</v>
      </c>
    </row>
    <row r="69" spans="1:9" x14ac:dyDescent="0.2">
      <c r="H69" s="37"/>
    </row>
    <row r="70" spans="1:9" x14ac:dyDescent="0.2">
      <c r="A70" s="3" t="s">
        <v>25</v>
      </c>
      <c r="B70" s="3" t="s">
        <v>4</v>
      </c>
      <c r="C70" s="28">
        <v>4.3999999999999997E-2</v>
      </c>
      <c r="D70" s="28">
        <f>C70</f>
        <v>4.3999999999999997E-2</v>
      </c>
      <c r="E70" s="28">
        <f t="shared" ref="E70:H70" si="17">D70</f>
        <v>4.3999999999999997E-2</v>
      </c>
      <c r="F70" s="28">
        <f t="shared" si="17"/>
        <v>4.3999999999999997E-2</v>
      </c>
      <c r="G70" s="28">
        <f t="shared" si="17"/>
        <v>4.3999999999999997E-2</v>
      </c>
      <c r="H70" s="44">
        <f t="shared" si="17"/>
        <v>4.3999999999999997E-2</v>
      </c>
    </row>
    <row r="71" spans="1:9" x14ac:dyDescent="0.2">
      <c r="H71" s="37"/>
    </row>
    <row r="72" spans="1:9" x14ac:dyDescent="0.2">
      <c r="A72" s="3" t="s">
        <v>14</v>
      </c>
      <c r="B72" s="3" t="s">
        <v>4</v>
      </c>
      <c r="C72" s="8">
        <f>-C22</f>
        <v>0.23</v>
      </c>
      <c r="D72" s="8">
        <f t="shared" ref="D72:G72" si="18">-D22</f>
        <v>0.23</v>
      </c>
      <c r="E72" s="8">
        <f t="shared" si="18"/>
        <v>0.23</v>
      </c>
      <c r="F72" s="8">
        <f t="shared" si="18"/>
        <v>0.23</v>
      </c>
      <c r="G72" s="8">
        <f t="shared" si="18"/>
        <v>0.23</v>
      </c>
      <c r="H72" s="45">
        <f>G72</f>
        <v>0.23</v>
      </c>
    </row>
    <row r="73" spans="1:9" x14ac:dyDescent="0.2">
      <c r="H73" s="37"/>
    </row>
    <row r="74" spans="1:9" x14ac:dyDescent="0.2">
      <c r="A74" s="3" t="s">
        <v>26</v>
      </c>
      <c r="B74" s="3" t="s">
        <v>4</v>
      </c>
      <c r="C74" s="9">
        <f>C75/(C75+C80)</f>
        <v>0.35755651637387342</v>
      </c>
      <c r="D74" s="9">
        <f t="shared" ref="D74:G74" si="19">D75/(D75+D80)</f>
        <v>0.35755651637387342</v>
      </c>
      <c r="E74" s="9">
        <f t="shared" si="19"/>
        <v>0.35755651637387342</v>
      </c>
      <c r="F74" s="9">
        <f t="shared" si="19"/>
        <v>0.35755651637387342</v>
      </c>
      <c r="G74" s="9">
        <f t="shared" si="19"/>
        <v>0.35755651637387342</v>
      </c>
      <c r="H74" s="46">
        <f>1-H79</f>
        <v>0.86199999999999999</v>
      </c>
    </row>
    <row r="75" spans="1:9" x14ac:dyDescent="0.2">
      <c r="A75" s="3" t="s">
        <v>30</v>
      </c>
      <c r="B75" s="4" t="str">
        <f>$B$2</f>
        <v>EUR Mrd.</v>
      </c>
      <c r="C75" s="5">
        <f>C76*C77/1000</f>
        <v>28.293696000000001</v>
      </c>
      <c r="D75" s="5">
        <f t="shared" ref="D75:G75" si="20">D76*D77/1000</f>
        <v>28.293696000000001</v>
      </c>
      <c r="E75" s="5">
        <f t="shared" si="20"/>
        <v>28.293696000000001</v>
      </c>
      <c r="F75" s="5">
        <f t="shared" si="20"/>
        <v>28.293696000000001</v>
      </c>
      <c r="G75" s="5">
        <f t="shared" si="20"/>
        <v>28.293696000000001</v>
      </c>
      <c r="H75" s="38"/>
    </row>
    <row r="76" spans="1:9" x14ac:dyDescent="0.2">
      <c r="A76" s="3" t="s">
        <v>28</v>
      </c>
      <c r="B76" s="3" t="s">
        <v>31</v>
      </c>
      <c r="C76" s="30">
        <v>28.8</v>
      </c>
      <c r="D76" s="30">
        <v>28.8</v>
      </c>
      <c r="E76" s="30">
        <v>28.8</v>
      </c>
      <c r="F76" s="30">
        <v>28.8</v>
      </c>
      <c r="G76" s="30">
        <v>28.8</v>
      </c>
      <c r="H76" s="47"/>
    </row>
    <row r="77" spans="1:9" x14ac:dyDescent="0.2">
      <c r="A77" s="3" t="s">
        <v>29</v>
      </c>
      <c r="B77" s="3" t="s">
        <v>32</v>
      </c>
      <c r="C77" s="27">
        <v>982.42</v>
      </c>
      <c r="D77" s="27">
        <v>982.42</v>
      </c>
      <c r="E77" s="27">
        <v>982.42</v>
      </c>
      <c r="F77" s="27">
        <v>982.42</v>
      </c>
      <c r="G77" s="27">
        <v>982.42</v>
      </c>
      <c r="H77" s="48"/>
    </row>
    <row r="78" spans="1:9" x14ac:dyDescent="0.2">
      <c r="H78" s="37"/>
    </row>
    <row r="79" spans="1:9" x14ac:dyDescent="0.2">
      <c r="A79" s="3" t="s">
        <v>27</v>
      </c>
      <c r="B79" s="3" t="s">
        <v>4</v>
      </c>
      <c r="C79" s="9">
        <f>C80/(C80+C75)</f>
        <v>0.64244348362612658</v>
      </c>
      <c r="D79" s="9">
        <f t="shared" ref="D79:G79" si="21">D80/(D80+D75)</f>
        <v>0.64244348362612658</v>
      </c>
      <c r="E79" s="9">
        <f t="shared" si="21"/>
        <v>0.64244348362612658</v>
      </c>
      <c r="F79" s="9">
        <f t="shared" si="21"/>
        <v>0.64244348362612658</v>
      </c>
      <c r="G79" s="9">
        <f t="shared" si="21"/>
        <v>0.64244348362612658</v>
      </c>
      <c r="H79" s="46">
        <v>0.13800000000000001</v>
      </c>
    </row>
    <row r="80" spans="1:9" x14ac:dyDescent="0.2">
      <c r="A80" s="3" t="s">
        <v>33</v>
      </c>
      <c r="B80" s="4" t="str">
        <f>$B$2</f>
        <v>EUR Mrd.</v>
      </c>
      <c r="C80" s="27">
        <f>35.111+0.969+12.313+2.444</f>
        <v>50.837000000000003</v>
      </c>
      <c r="D80" s="27">
        <f t="shared" ref="D80:G80" si="22">35.111+0.969+12.313+2.444</f>
        <v>50.837000000000003</v>
      </c>
      <c r="E80" s="27">
        <f t="shared" si="22"/>
        <v>50.837000000000003</v>
      </c>
      <c r="F80" s="27">
        <f t="shared" si="22"/>
        <v>50.837000000000003</v>
      </c>
      <c r="G80" s="27">
        <f t="shared" si="22"/>
        <v>50.837000000000003</v>
      </c>
      <c r="H80" s="4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4E9A0-3E12-45B2-9159-CE682C2DACC8}">
  <dimension ref="A1"/>
  <sheetViews>
    <sheetView workbookViewId="0"/>
  </sheetViews>
  <sheetFormatPr baseColWidth="10" defaultRowHeight="12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05F5-6B2A-4439-817D-4318287F001D}">
  <dimension ref="A1"/>
  <sheetViews>
    <sheetView workbookViewId="0"/>
  </sheetViews>
  <sheetFormatPr baseColWidth="10" defaultRowHeight="12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Bayer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Thilo Hasler</dc:creator>
  <cp:lastModifiedBy>Peter Thilo Hasler</cp:lastModifiedBy>
  <dcterms:created xsi:type="dcterms:W3CDTF">2024-02-21T16:51:59Z</dcterms:created>
  <dcterms:modified xsi:type="dcterms:W3CDTF">2024-02-29T16:47:20Z</dcterms:modified>
</cp:coreProperties>
</file>